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B7" i="1" l="1"/>
  <c r="AB6" i="1"/>
  <c r="AB5" i="1"/>
  <c r="AB4" i="1"/>
  <c r="AE10" i="1" l="1"/>
  <c r="Q7" i="1"/>
  <c r="S7" i="1" s="1"/>
  <c r="P7" i="1"/>
  <c r="R7" i="1" s="1"/>
  <c r="L7" i="1"/>
  <c r="I7" i="1"/>
  <c r="J7" i="1" s="1"/>
  <c r="K7" i="1" s="1"/>
  <c r="O7" i="1" s="1"/>
  <c r="D7" i="1"/>
  <c r="X7" i="1" s="1"/>
  <c r="Y7" i="1" s="1"/>
  <c r="Q6" i="1"/>
  <c r="S6" i="1" s="1"/>
  <c r="P6" i="1"/>
  <c r="L6" i="1"/>
  <c r="I6" i="1"/>
  <c r="J6" i="1" s="1"/>
  <c r="K6" i="1" s="1"/>
  <c r="O6" i="1" s="1"/>
  <c r="D6" i="1"/>
  <c r="X6" i="1" s="1"/>
  <c r="Y6" i="1" s="1"/>
  <c r="AF5" i="1"/>
  <c r="Q5" i="1"/>
  <c r="S5" i="1" s="1"/>
  <c r="P5" i="1"/>
  <c r="R5" i="1" s="1"/>
  <c r="L5" i="1"/>
  <c r="I5" i="1"/>
  <c r="J5" i="1" s="1"/>
  <c r="K5" i="1" s="1"/>
  <c r="O5" i="1" s="1"/>
  <c r="D5" i="1"/>
  <c r="X5" i="1" s="1"/>
  <c r="Y5" i="1" s="1"/>
  <c r="Q4" i="1"/>
  <c r="S4" i="1" s="1"/>
  <c r="P4" i="1"/>
  <c r="L4" i="1"/>
  <c r="I4" i="1"/>
  <c r="J4" i="1" s="1"/>
  <c r="K4" i="1" s="1"/>
  <c r="O4" i="1" s="1"/>
  <c r="D4" i="1"/>
  <c r="X4" i="1" s="1"/>
  <c r="Y4" i="1" s="1"/>
  <c r="T7" i="1" l="1"/>
  <c r="U7" i="1" s="1"/>
  <c r="AD7" i="1"/>
  <c r="M5" i="1"/>
  <c r="T5" i="1"/>
  <c r="M4" i="1"/>
  <c r="M7" i="1"/>
  <c r="M6" i="1"/>
  <c r="R6" i="1"/>
  <c r="T6" i="1" s="1"/>
  <c r="R4" i="1"/>
  <c r="T4" i="1" s="1"/>
  <c r="U4" i="1" s="1"/>
  <c r="N7" i="1" l="1"/>
  <c r="V7" i="1" s="1"/>
  <c r="W7" i="1" s="1"/>
  <c r="AA7" i="1"/>
  <c r="N5" i="1"/>
  <c r="V5" i="1" s="1"/>
  <c r="W5" i="1" s="1"/>
  <c r="Z5" i="1" s="1"/>
  <c r="AA5" i="1"/>
  <c r="N6" i="1"/>
  <c r="V6" i="1" s="1"/>
  <c r="W6" i="1" s="1"/>
  <c r="Z6" i="1" s="1"/>
  <c r="AA6" i="1"/>
  <c r="N4" i="1"/>
  <c r="V4" i="1" s="1"/>
  <c r="W4" i="1" s="1"/>
  <c r="AA4" i="1"/>
  <c r="U5" i="1"/>
  <c r="AD5" i="1"/>
  <c r="AD4" i="1"/>
  <c r="U6" i="1"/>
  <c r="AD6" i="1"/>
  <c r="AE9" i="1"/>
  <c r="Z4" i="1" l="1"/>
  <c r="AC4" i="1"/>
  <c r="AC6" i="1"/>
  <c r="AC5" i="1"/>
  <c r="AC7" i="1"/>
  <c r="Z7" i="1"/>
</calcChain>
</file>

<file path=xl/sharedStrings.xml><?xml version="1.0" encoding="utf-8"?>
<sst xmlns="http://schemas.openxmlformats.org/spreadsheetml/2006/main" count="95" uniqueCount="67">
  <si>
    <t>DOY</t>
  </si>
  <si>
    <r>
      <t>T</t>
    </r>
    <r>
      <rPr>
        <vertAlign val="subscript"/>
        <sz val="11"/>
        <color rgb="FF000000"/>
        <rFont val="Calibri"/>
        <family val="2"/>
      </rPr>
      <t>x</t>
    </r>
  </si>
  <si>
    <r>
      <t>T</t>
    </r>
    <r>
      <rPr>
        <vertAlign val="subscript"/>
        <sz val="11"/>
        <color rgb="FF000000"/>
        <rFont val="Calibri"/>
        <family val="2"/>
      </rPr>
      <t>n</t>
    </r>
  </si>
  <si>
    <t>Tavg</t>
  </si>
  <si>
    <t>RHx</t>
  </si>
  <si>
    <t>RHn</t>
  </si>
  <si>
    <t>U</t>
  </si>
  <si>
    <r>
      <t>R</t>
    </r>
    <r>
      <rPr>
        <vertAlign val="subscript"/>
        <sz val="11"/>
        <color rgb="FF000000"/>
        <rFont val="Calibri"/>
        <family val="2"/>
      </rPr>
      <t>s</t>
    </r>
  </si>
  <si>
    <t>Dec</t>
  </si>
  <si>
    <r>
      <t>h</t>
    </r>
    <r>
      <rPr>
        <vertAlign val="subscript"/>
        <sz val="11"/>
        <color rgb="FF000000"/>
        <rFont val="Calibri"/>
        <family val="2"/>
      </rPr>
      <t>s</t>
    </r>
  </si>
  <si>
    <r>
      <t>d</t>
    </r>
    <r>
      <rPr>
        <vertAlign val="subscript"/>
        <sz val="11"/>
        <color rgb="FF000000"/>
        <rFont val="Calibri"/>
        <family val="2"/>
      </rPr>
      <t>r</t>
    </r>
  </si>
  <si>
    <r>
      <t>R</t>
    </r>
    <r>
      <rPr>
        <vertAlign val="subscript"/>
        <sz val="11"/>
        <color rgb="FF000000"/>
        <rFont val="Calibri"/>
        <family val="2"/>
      </rPr>
      <t>A</t>
    </r>
  </si>
  <si>
    <t>n/N</t>
  </si>
  <si>
    <t>N</t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</si>
  <si>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</si>
  <si>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</si>
  <si>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</si>
  <si>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</t>
    </r>
  </si>
  <si>
    <r>
      <t>e</t>
    </r>
    <r>
      <rPr>
        <vertAlign val="subscript"/>
        <sz val="11"/>
        <color rgb="FF000000"/>
        <rFont val="Calibri"/>
        <family val="2"/>
      </rPr>
      <t>avg</t>
    </r>
  </si>
  <si>
    <r>
      <t>VPD</t>
    </r>
    <r>
      <rPr>
        <vertAlign val="subscript"/>
        <sz val="11"/>
        <color rgb="FF000000"/>
        <rFont val="Calibri"/>
        <family val="2"/>
      </rPr>
      <t>avg</t>
    </r>
  </si>
  <si>
    <r>
      <t>R</t>
    </r>
    <r>
      <rPr>
        <vertAlign val="subscript"/>
        <sz val="11"/>
        <color rgb="FF000000"/>
        <rFont val="Calibri"/>
        <family val="2"/>
      </rPr>
      <t>b</t>
    </r>
  </si>
  <si>
    <r>
      <t>R</t>
    </r>
    <r>
      <rPr>
        <vertAlign val="subscript"/>
        <sz val="11"/>
        <color rgb="FF000000"/>
        <rFont val="Calibri"/>
        <family val="2"/>
      </rPr>
      <t>n</t>
    </r>
  </si>
  <si>
    <r>
      <t>e</t>
    </r>
    <r>
      <rPr>
        <vertAlign val="subscript"/>
        <sz val="11"/>
        <color rgb="FF000000"/>
        <rFont val="Calibri"/>
        <family val="2"/>
      </rPr>
      <t>s</t>
    </r>
  </si>
  <si>
    <t>Δ</t>
  </si>
  <si>
    <t>ET</t>
  </si>
  <si>
    <t>grass</t>
  </si>
  <si>
    <t>pond</t>
  </si>
  <si>
    <t>soil (wet)</t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</si>
  <si>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</si>
  <si>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</si>
  <si>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r>
      <t>for T</t>
    </r>
    <r>
      <rPr>
        <vertAlign val="subscript"/>
        <sz val="11"/>
        <color rgb="FF000000"/>
        <rFont val="Calibri"/>
        <family val="2"/>
      </rPr>
      <t>x</t>
    </r>
  </si>
  <si>
    <r>
      <t>for T</t>
    </r>
    <r>
      <rPr>
        <vertAlign val="subscript"/>
        <sz val="11"/>
        <color rgb="FF000000"/>
        <rFont val="Calibri"/>
        <family val="2"/>
      </rPr>
      <t>n</t>
    </r>
  </si>
  <si>
    <t>for Tavg</t>
  </si>
  <si>
    <t>inputs</t>
  </si>
  <si>
    <t>units</t>
  </si>
  <si>
    <t>h 0.01</t>
  </si>
  <si>
    <t>-</t>
  </si>
  <si>
    <t>ºC</t>
  </si>
  <si>
    <t>%</t>
  </si>
  <si>
    <t>m/s</t>
  </si>
  <si>
    <t>MJ/m2/d</t>
  </si>
  <si>
    <t>deg</t>
  </si>
  <si>
    <t>rad</t>
  </si>
  <si>
    <t>hour</t>
  </si>
  <si>
    <t>kPa</t>
  </si>
  <si>
    <t>kPa/K</t>
  </si>
  <si>
    <t>mm/d</t>
  </si>
  <si>
    <t>albedo</t>
  </si>
  <si>
    <t>h</t>
  </si>
  <si>
    <t>m</t>
  </si>
  <si>
    <r>
      <t>r</t>
    </r>
    <r>
      <rPr>
        <vertAlign val="subscript"/>
        <sz val="11"/>
        <color rgb="FF000000"/>
        <rFont val="Calibri"/>
        <family val="2"/>
      </rPr>
      <t>a</t>
    </r>
  </si>
  <si>
    <t>s/m</t>
  </si>
  <si>
    <r>
      <t>r</t>
    </r>
    <r>
      <rPr>
        <vertAlign val="subscript"/>
        <sz val="11"/>
        <rFont val="Calibri"/>
        <family val="2"/>
      </rPr>
      <t>a</t>
    </r>
  </si>
  <si>
    <r>
      <t>r</t>
    </r>
    <r>
      <rPr>
        <vertAlign val="subscript"/>
        <sz val="11"/>
        <color rgb="FF7030A0"/>
        <rFont val="Calibri"/>
        <family val="2"/>
      </rPr>
      <t>c</t>
    </r>
  </si>
  <si>
    <r>
      <t>r</t>
    </r>
    <r>
      <rPr>
        <vertAlign val="subscript"/>
        <sz val="11"/>
        <rFont val="Calibri"/>
        <family val="2"/>
      </rPr>
      <t>c</t>
    </r>
  </si>
  <si>
    <t xml:space="preserve">Latitude </t>
  </si>
  <si>
    <t>degrees</t>
  </si>
  <si>
    <t xml:space="preserve">Altitude </t>
  </si>
  <si>
    <r>
      <rPr>
        <sz val="11"/>
        <color rgb="FF000000"/>
        <rFont val="Calibri"/>
        <family val="2"/>
      </rPr>
      <t>ρ C</t>
    </r>
    <r>
      <rPr>
        <vertAlign val="subscript"/>
        <sz val="11"/>
        <color rgb="FF000000"/>
        <rFont val="Calibri"/>
        <family val="2"/>
      </rPr>
      <t>p</t>
    </r>
  </si>
  <si>
    <r>
      <t>J/K/m</t>
    </r>
    <r>
      <rPr>
        <vertAlign val="superscript"/>
        <sz val="11"/>
        <color rgb="FF000000"/>
        <rFont val="Calibri"/>
        <family val="2"/>
      </rPr>
      <t>3</t>
    </r>
  </si>
  <si>
    <r>
      <t>P</t>
    </r>
    <r>
      <rPr>
        <vertAlign val="subscript"/>
        <sz val="11"/>
        <color rgb="FF000000"/>
        <rFont val="Calibri"/>
        <family val="2"/>
      </rPr>
      <t>at</t>
    </r>
  </si>
  <si>
    <r>
      <t>ET</t>
    </r>
    <r>
      <rPr>
        <vertAlign val="subscript"/>
        <sz val="11"/>
        <color rgb="FF000000"/>
        <rFont val="Calibri"/>
        <family val="2"/>
      </rPr>
      <t xml:space="preserve">0 </t>
    </r>
  </si>
  <si>
    <t>PM-FAO</t>
  </si>
  <si>
    <t>Hargreaves</t>
  </si>
  <si>
    <r>
      <t>K</t>
    </r>
    <r>
      <rPr>
        <vertAlign val="subscript"/>
        <sz val="11"/>
        <color rgb="FF000000"/>
        <rFont val="Calibri"/>
        <family val="2"/>
      </rPr>
      <t>RS</t>
    </r>
  </si>
  <si>
    <t>PM General</t>
  </si>
  <si>
    <t>PE greenhouse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</si>
</sst>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</font>
    <font>
      <sz val="11"/>
      <color rgb="FFC00000"/>
      <name val="Calibri"/>
      <family val="2"/>
    </font>
    <font>
      <sz val="11"/>
      <color rgb="FF7030A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000000"/>
      <name val="Times New Roman"/>
      <family val="1"/>
    </font>
    <font>
      <vertAlign val="subscript"/>
      <sz val="11"/>
      <color rgb="FF000000"/>
      <name val="Calibri"/>
      <family val="2"/>
    </font>
    <font>
      <vertAlign val="subscript"/>
      <sz val="11"/>
      <name val="Calibri"/>
      <family val="2"/>
    </font>
    <font>
      <vertAlign val="subscript"/>
      <sz val="11"/>
      <color rgb="FF7030A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2" borderId="1" xfId="0" applyFont="1" applyFill="1" applyBorder="1"/>
    <xf numFmtId="0" fontId="0" fillId="0" borderId="1" xfId="0" applyFont="1" applyBorder="1"/>
    <xf numFmtId="0" fontId="1" fillId="3" borderId="1" xfId="0" applyFont="1" applyFill="1" applyBorder="1"/>
    <xf numFmtId="0" fontId="0" fillId="4" borderId="2" xfId="0" applyFont="1" applyFill="1" applyBorder="1"/>
    <xf numFmtId="0" fontId="0" fillId="5" borderId="1" xfId="0" applyFont="1" applyFill="1" applyBorder="1"/>
    <xf numFmtId="0" fontId="2" fillId="2" borderId="1" xfId="0" applyFont="1" applyFill="1" applyBorder="1"/>
    <xf numFmtId="0" fontId="2" fillId="4" borderId="2" xfId="0" applyFont="1" applyFill="1" applyBorder="1"/>
    <xf numFmtId="0" fontId="4" fillId="5" borderId="1" xfId="0" applyFont="1" applyFill="1" applyBorder="1"/>
    <xf numFmtId="164" fontId="0" fillId="0" borderId="1" xfId="0" applyNumberFormat="1" applyFont="1" applyBorder="1"/>
    <xf numFmtId="2" fontId="0" fillId="0" borderId="1" xfId="0" applyNumberFormat="1" applyFont="1" applyBorder="1"/>
    <xf numFmtId="2" fontId="1" fillId="3" borderId="1" xfId="0" applyNumberFormat="1" applyFont="1" applyFill="1" applyBorder="1"/>
    <xf numFmtId="164" fontId="0" fillId="5" borderId="1" xfId="0" applyNumberFormat="1" applyFont="1" applyFill="1" applyBorder="1"/>
    <xf numFmtId="0" fontId="5" fillId="2" borderId="1" xfId="0" applyFont="1" applyFill="1" applyBorder="1"/>
    <xf numFmtId="0" fontId="5" fillId="4" borderId="2" xfId="0" applyFont="1" applyFill="1" applyBorder="1"/>
    <xf numFmtId="1" fontId="0" fillId="0" borderId="1" xfId="0" applyNumberFormat="1" applyFont="1" applyBorder="1"/>
    <xf numFmtId="164" fontId="0" fillId="4" borderId="1" xfId="0" applyNumberFormat="1" applyFont="1" applyFill="1" applyBorder="1"/>
    <xf numFmtId="0" fontId="0" fillId="4" borderId="1" xfId="0" applyFont="1" applyFill="1" applyBorder="1"/>
    <xf numFmtId="0" fontId="0" fillId="0" borderId="0" xfId="0" applyFont="1"/>
    <xf numFmtId="0" fontId="6" fillId="0" borderId="0" xfId="0" applyFont="1"/>
    <xf numFmtId="0" fontId="10" fillId="6" borderId="5" xfId="0" applyFont="1" applyFill="1" applyBorder="1" applyAlignment="1"/>
    <xf numFmtId="0" fontId="10" fillId="0" borderId="0" xfId="0" applyFont="1" applyAlignment="1"/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10" fillId="0" borderId="2" xfId="0" applyFont="1" applyFill="1" applyBorder="1" applyAlignment="1"/>
    <xf numFmtId="2" fontId="1" fillId="8" borderId="1" xfId="0" applyNumberFormat="1" applyFont="1" applyFill="1" applyBorder="1"/>
    <xf numFmtId="2" fontId="5" fillId="7" borderId="1" xfId="0" applyNumberFormat="1" applyFont="1" applyFill="1" applyBorder="1"/>
    <xf numFmtId="2" fontId="5" fillId="9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8</xdr:row>
      <xdr:rowOff>161925</xdr:rowOff>
    </xdr:from>
    <xdr:ext cx="5219700" cy="676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13</xdr:row>
      <xdr:rowOff>123825</xdr:rowOff>
    </xdr:from>
    <xdr:ext cx="2047875" cy="4095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16</xdr:row>
      <xdr:rowOff>95250</xdr:rowOff>
    </xdr:from>
    <xdr:ext cx="4733925" cy="657225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20</xdr:row>
      <xdr:rowOff>171450</xdr:rowOff>
    </xdr:from>
    <xdr:ext cx="5524500" cy="409575"/>
    <xdr:pic>
      <xdr:nvPicPr>
        <xdr:cNvPr id="5" name="image4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47625</xdr:colOff>
      <xdr:row>12</xdr:row>
      <xdr:rowOff>152400</xdr:rowOff>
    </xdr:from>
    <xdr:ext cx="914400" cy="666750"/>
    <xdr:pic>
      <xdr:nvPicPr>
        <xdr:cNvPr id="6" name="image5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24</xdr:row>
      <xdr:rowOff>104775</xdr:rowOff>
    </xdr:from>
    <xdr:ext cx="2295525" cy="790575"/>
    <xdr:pic>
      <xdr:nvPicPr>
        <xdr:cNvPr id="7" name="image6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295275</xdr:colOff>
      <xdr:row>9</xdr:row>
      <xdr:rowOff>85725</xdr:rowOff>
    </xdr:from>
    <xdr:ext cx="1952625" cy="561975"/>
    <xdr:pic>
      <xdr:nvPicPr>
        <xdr:cNvPr id="8" name="image7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13</xdr:row>
      <xdr:rowOff>38100</xdr:rowOff>
    </xdr:from>
    <xdr:ext cx="2724150" cy="619125"/>
    <xdr:pic>
      <xdr:nvPicPr>
        <xdr:cNvPr id="9" name="image8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152400</xdr:colOff>
      <xdr:row>17</xdr:row>
      <xdr:rowOff>9525</xdr:rowOff>
    </xdr:from>
    <xdr:ext cx="5419725" cy="638175"/>
    <xdr:pic>
      <xdr:nvPicPr>
        <xdr:cNvPr id="10" name="image9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29</xdr:row>
      <xdr:rowOff>161925</xdr:rowOff>
    </xdr:from>
    <xdr:ext cx="5324475" cy="771525"/>
    <xdr:pic>
      <xdr:nvPicPr>
        <xdr:cNvPr id="11" name="image11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34</xdr:row>
      <xdr:rowOff>28575</xdr:rowOff>
    </xdr:from>
    <xdr:ext cx="2724150" cy="457200"/>
    <xdr:pic>
      <xdr:nvPicPr>
        <xdr:cNvPr id="12" name="image10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276225</xdr:colOff>
      <xdr:row>22</xdr:row>
      <xdr:rowOff>47625</xdr:rowOff>
    </xdr:from>
    <xdr:ext cx="6867525" cy="1533525"/>
    <xdr:pic>
      <xdr:nvPicPr>
        <xdr:cNvPr id="13" name="image13.pn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342900</xdr:colOff>
      <xdr:row>32</xdr:row>
      <xdr:rowOff>171450</xdr:rowOff>
    </xdr:from>
    <xdr:ext cx="2962275" cy="647700"/>
    <xdr:pic>
      <xdr:nvPicPr>
        <xdr:cNvPr id="14" name="image12.pn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133350</xdr:colOff>
      <xdr:row>16</xdr:row>
      <xdr:rowOff>142875</xdr:rowOff>
    </xdr:from>
    <xdr:ext cx="4943475" cy="638175"/>
    <xdr:pic>
      <xdr:nvPicPr>
        <xdr:cNvPr id="15" name="image15.pn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725275" y="3429000"/>
          <a:ext cx="4943475" cy="638175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114300</xdr:colOff>
      <xdr:row>9</xdr:row>
      <xdr:rowOff>66675</xdr:rowOff>
    </xdr:from>
    <xdr:ext cx="2009775" cy="542925"/>
    <xdr:pic>
      <xdr:nvPicPr>
        <xdr:cNvPr id="16" name="image14.pn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180975</xdr:colOff>
      <xdr:row>32</xdr:row>
      <xdr:rowOff>95250</xdr:rowOff>
    </xdr:from>
    <xdr:ext cx="5314950" cy="800100"/>
    <xdr:pic>
      <xdr:nvPicPr>
        <xdr:cNvPr id="17" name="image16.pn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7</xdr:row>
      <xdr:rowOff>133350</xdr:rowOff>
    </xdr:from>
    <xdr:ext cx="7448550" cy="1533525"/>
    <xdr:sp macro="" textlink="">
      <xdr:nvSpPr>
        <xdr:cNvPr id="3" name="Shape 3"/>
        <xdr:cNvSpPr txBox="1"/>
      </xdr:nvSpPr>
      <xdr:spPr>
        <a:xfrm>
          <a:off x="1626488" y="3018000"/>
          <a:ext cx="7439025" cy="152400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This worksheet is available for free. Send your request to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fvillalobos@uco.es</a:t>
          </a:r>
          <a:endParaRPr sz="2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AA10" sqref="AA10"/>
    </sheetView>
  </sheetViews>
  <sheetFormatPr baseColWidth="10" defaultColWidth="14.42578125" defaultRowHeight="15" customHeight="1" x14ac:dyDescent="0.25"/>
  <cols>
    <col min="1" max="1" width="4.7109375" customWidth="1"/>
    <col min="2" max="2" width="5.85546875" customWidth="1"/>
    <col min="3" max="3" width="5.140625" customWidth="1"/>
    <col min="4" max="4" width="6.28515625" customWidth="1"/>
    <col min="5" max="5" width="3.85546875" customWidth="1"/>
    <col min="6" max="6" width="4.42578125" customWidth="1"/>
    <col min="7" max="7" width="4.7109375" customWidth="1"/>
    <col min="8" max="8" width="9.140625" customWidth="1"/>
    <col min="9" max="9" width="5.28515625" customWidth="1"/>
    <col min="10" max="10" width="5.7109375" customWidth="1"/>
    <col min="11" max="11" width="4.7109375" customWidth="1"/>
    <col min="12" max="12" width="4.85546875" customWidth="1"/>
    <col min="13" max="13" width="9" customWidth="1"/>
    <col min="14" max="14" width="4.42578125" customWidth="1"/>
    <col min="15" max="15" width="4.85546875" customWidth="1"/>
    <col min="16" max="18" width="6" customWidth="1"/>
    <col min="19" max="19" width="5.85546875" customWidth="1"/>
    <col min="20" max="20" width="6.5703125" customWidth="1"/>
    <col min="21" max="21" width="7" customWidth="1"/>
    <col min="22" max="22" width="8.85546875" customWidth="1"/>
    <col min="23" max="23" width="9.140625" customWidth="1"/>
    <col min="24" max="24" width="8.140625" customWidth="1"/>
    <col min="25" max="25" width="8" customWidth="1"/>
    <col min="26" max="26" width="8.5703125" customWidth="1"/>
    <col min="27" max="27" width="10.7109375" customWidth="1"/>
    <col min="28" max="28" width="13.42578125" customWidth="1"/>
    <col min="29" max="29" width="8.7109375" customWidth="1"/>
    <col min="30" max="30" width="9.42578125" customWidth="1"/>
    <col min="31" max="31" width="10.7109375" customWidth="1"/>
    <col min="32" max="32" width="8.7109375" customWidth="1"/>
    <col min="33" max="33" width="4" customWidth="1"/>
    <col min="34" max="34" width="8.85546875" customWidth="1"/>
    <col min="35" max="36" width="7.85546875" customWidth="1"/>
    <col min="37" max="37" width="10.5703125" customWidth="1"/>
  </cols>
  <sheetData>
    <row r="1" spans="1:38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8</v>
      </c>
      <c r="K1" t="s">
        <v>9</v>
      </c>
      <c r="L1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t="s">
        <v>19</v>
      </c>
      <c r="V1" t="s">
        <v>20</v>
      </c>
      <c r="W1" t="s">
        <v>21</v>
      </c>
      <c r="X1" s="2" t="s">
        <v>22</v>
      </c>
      <c r="Y1" s="2" t="s">
        <v>23</v>
      </c>
      <c r="Z1" s="20" t="s">
        <v>61</v>
      </c>
      <c r="AA1" s="20" t="s">
        <v>61</v>
      </c>
      <c r="AB1" s="20" t="s">
        <v>61</v>
      </c>
      <c r="AC1" s="3" t="s">
        <v>24</v>
      </c>
      <c r="AD1" s="2" t="s">
        <v>58</v>
      </c>
      <c r="AH1" s="4"/>
      <c r="AI1" s="5"/>
      <c r="AJ1" s="5" t="s">
        <v>25</v>
      </c>
      <c r="AK1" s="5" t="s">
        <v>26</v>
      </c>
      <c r="AL1" s="5" t="s">
        <v>27</v>
      </c>
    </row>
    <row r="2" spans="1:38" ht="18" x14ac:dyDescent="0.3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 t="s">
        <v>28</v>
      </c>
      <c r="Q2" s="2" t="s">
        <v>29</v>
      </c>
      <c r="R2" s="2" t="s">
        <v>30</v>
      </c>
      <c r="S2" s="2" t="s">
        <v>31</v>
      </c>
      <c r="T2" s="2"/>
      <c r="U2" s="2"/>
      <c r="V2" s="2"/>
      <c r="W2" s="2"/>
      <c r="X2" s="2" t="s">
        <v>32</v>
      </c>
      <c r="Y2" s="2" t="s">
        <v>32</v>
      </c>
      <c r="Z2" s="21" t="s">
        <v>62</v>
      </c>
      <c r="AA2" s="21" t="s">
        <v>63</v>
      </c>
      <c r="AB2" s="24" t="s">
        <v>66</v>
      </c>
      <c r="AC2" s="3" t="s">
        <v>65</v>
      </c>
      <c r="AE2" s="22" t="s">
        <v>33</v>
      </c>
      <c r="AF2" s="23"/>
      <c r="AG2" s="6" t="s">
        <v>34</v>
      </c>
      <c r="AH2" s="7"/>
      <c r="AI2" s="5"/>
      <c r="AJ2" s="5"/>
      <c r="AK2" s="5"/>
      <c r="AL2" s="5" t="s">
        <v>35</v>
      </c>
    </row>
    <row r="3" spans="1:38" x14ac:dyDescent="0.25">
      <c r="A3" s="2" t="s">
        <v>36</v>
      </c>
      <c r="B3" s="2" t="s">
        <v>37</v>
      </c>
      <c r="C3" s="2" t="s">
        <v>37</v>
      </c>
      <c r="D3" s="2" t="s">
        <v>37</v>
      </c>
      <c r="E3" s="2" t="s">
        <v>38</v>
      </c>
      <c r="F3" s="2" t="s">
        <v>38</v>
      </c>
      <c r="G3" s="2" t="s">
        <v>39</v>
      </c>
      <c r="H3" s="2" t="s">
        <v>40</v>
      </c>
      <c r="I3" s="2" t="s">
        <v>41</v>
      </c>
      <c r="J3" s="2" t="s">
        <v>42</v>
      </c>
      <c r="K3" s="2" t="s">
        <v>42</v>
      </c>
      <c r="L3" s="2" t="s">
        <v>36</v>
      </c>
      <c r="M3" s="2" t="s">
        <v>40</v>
      </c>
      <c r="N3" s="2" t="s">
        <v>36</v>
      </c>
      <c r="O3" s="2" t="s">
        <v>43</v>
      </c>
      <c r="P3" s="2" t="s">
        <v>44</v>
      </c>
      <c r="Q3" s="2" t="s">
        <v>44</v>
      </c>
      <c r="R3" s="2" t="s">
        <v>44</v>
      </c>
      <c r="S3" s="2" t="s">
        <v>44</v>
      </c>
      <c r="T3" s="2" t="s">
        <v>44</v>
      </c>
      <c r="U3" s="2" t="s">
        <v>44</v>
      </c>
      <c r="V3" s="2" t="s">
        <v>40</v>
      </c>
      <c r="W3" s="2" t="s">
        <v>40</v>
      </c>
      <c r="X3" s="2" t="s">
        <v>44</v>
      </c>
      <c r="Y3" s="2" t="s">
        <v>45</v>
      </c>
      <c r="Z3" s="21" t="s">
        <v>46</v>
      </c>
      <c r="AA3" s="21" t="s">
        <v>46</v>
      </c>
      <c r="AB3" s="21"/>
      <c r="AC3" s="3" t="s">
        <v>46</v>
      </c>
      <c r="AE3" s="6" t="s">
        <v>47</v>
      </c>
      <c r="AF3" s="6">
        <v>0.23</v>
      </c>
      <c r="AG3" s="6" t="s">
        <v>36</v>
      </c>
      <c r="AH3" s="7"/>
      <c r="AI3" s="8" t="s">
        <v>47</v>
      </c>
      <c r="AJ3" s="5">
        <v>0.23</v>
      </c>
      <c r="AK3" s="5">
        <v>0.1</v>
      </c>
      <c r="AL3" s="5">
        <v>0.14000000000000001</v>
      </c>
    </row>
    <row r="4" spans="1:38" x14ac:dyDescent="0.25">
      <c r="A4" s="1">
        <v>180</v>
      </c>
      <c r="B4" s="1">
        <v>35</v>
      </c>
      <c r="C4" s="1">
        <v>15</v>
      </c>
      <c r="D4" s="1">
        <f t="shared" ref="D4:D7" si="0">(B4+C4)/2</f>
        <v>25</v>
      </c>
      <c r="E4" s="1">
        <v>70</v>
      </c>
      <c r="F4" s="1">
        <v>30</v>
      </c>
      <c r="G4" s="1">
        <v>2</v>
      </c>
      <c r="H4" s="1">
        <v>30</v>
      </c>
      <c r="I4" s="9">
        <f t="shared" ref="I4:I7" si="1">23.45*COS(2*3.1416/365*(A4-172))</f>
        <v>23.227984965810336</v>
      </c>
      <c r="J4" s="10">
        <f t="shared" ref="J4:J7" si="2">I4*3.1416/180</f>
        <v>0.40540576426994301</v>
      </c>
      <c r="K4" s="10">
        <f>ACOS(-TAN($AF$7*3.1416/180)*TAN(J4))</f>
        <v>1.9108179065913065</v>
      </c>
      <c r="L4" s="10">
        <f t="shared" ref="L4:L7" si="3">1+0.033*COS(2*3.1416/365*A4)</f>
        <v>0.96703054391542176</v>
      </c>
      <c r="M4" s="9">
        <f>37.4*L4*(SIN($AF$7*3.1416/180)*SIN(J4)*K4+COS($AF$7*3.1416/180)*COS(J4)*SIN(K4))</f>
        <v>41.464847575552248</v>
      </c>
      <c r="N4" s="10">
        <f t="shared" ref="N4:N7" si="4">MIN(1,MAX(0,2*(H4/M4-0.25)))</f>
        <v>0.94700881609838872</v>
      </c>
      <c r="O4" s="9">
        <f t="shared" ref="O4:O7" si="5">K4*2*12/3.1416</f>
        <v>14.597539393363686</v>
      </c>
      <c r="P4" s="10">
        <f t="shared" ref="P4:Q4" si="6">0.6108*EXP(17.27*B4/(237.3+B4))</f>
        <v>5.6226812384961216</v>
      </c>
      <c r="Q4" s="10">
        <f t="shared" si="6"/>
        <v>1.7053462321157722</v>
      </c>
      <c r="R4" s="10">
        <f t="shared" ref="R4:R7" si="7">P4*F4/100</f>
        <v>1.6868043715488363</v>
      </c>
      <c r="S4" s="10">
        <f t="shared" ref="S4:S7" si="8">Q4*E4/100</f>
        <v>1.1937423624810406</v>
      </c>
      <c r="T4" s="10">
        <f t="shared" ref="T4:T7" si="9">0.5*(R4+S4)</f>
        <v>1.4402733670149384</v>
      </c>
      <c r="U4" s="10">
        <f t="shared" ref="U4:U7" si="10">0.5*(P4+Q4)-T4</f>
        <v>2.2237403682910086</v>
      </c>
      <c r="V4" s="10">
        <f t="shared" ref="V4:V7" si="11">(0.1+0.9*N4)*(0.34-0.14*SQRT(T4))*0.0000000049*(273+D4)^4</f>
        <v>6.3288779701762579</v>
      </c>
      <c r="W4" s="10">
        <f>(1-$AF$3)*H4-V4</f>
        <v>16.771122029823744</v>
      </c>
      <c r="X4" s="10">
        <f t="shared" ref="X4:X7" si="12">0.6108*EXP(17.27*D4/(237.3+D4))</f>
        <v>3.1677777175068473</v>
      </c>
      <c r="Y4" s="10">
        <f t="shared" ref="Y4:Y7" si="13">4098*X4/(237.3+D4)^2</f>
        <v>0.18868182684282603</v>
      </c>
      <c r="Z4" s="11">
        <f>(Y4*W4+0.5*U4*G4)/2.45/(Y4+0.067*(1+0.33*G4))</f>
        <v>7.3332110558666415</v>
      </c>
      <c r="AA4" s="26">
        <f>0.00552*M4*(D4+17.8)*SQRT(B4-C4)*$AE$12</f>
        <v>7.009675288861807</v>
      </c>
      <c r="AB4" s="27">
        <f>0.68/2.45*Y4/(0.067+Y4)*0.7*H4</f>
        <v>4.3012267184041919</v>
      </c>
      <c r="AC4" s="25">
        <f>(Y4*W4+0.0864*AD4*U4/$AF$5)/(Y4+0.067*(1+$AF$6/$AF$5))/2.45</f>
        <v>7.4496147046874075</v>
      </c>
      <c r="AD4" s="15">
        <f>29000*$AE$10/8.31/(D4+273)*(1.01+0.622*T4/($AE$10-T4))</f>
        <v>1194.6480418658741</v>
      </c>
      <c r="AE4" s="6" t="s">
        <v>48</v>
      </c>
      <c r="AF4" s="6">
        <v>0.12</v>
      </c>
      <c r="AG4" s="6" t="s">
        <v>49</v>
      </c>
      <c r="AH4" s="7"/>
      <c r="AI4" s="8" t="s">
        <v>48</v>
      </c>
      <c r="AJ4" s="5">
        <v>0.12</v>
      </c>
      <c r="AK4" s="5">
        <v>1.5E-3</v>
      </c>
      <c r="AL4" s="5">
        <v>0.01</v>
      </c>
    </row>
    <row r="5" spans="1:38" ht="18" x14ac:dyDescent="0.35">
      <c r="A5" s="1">
        <v>180</v>
      </c>
      <c r="B5" s="1">
        <v>27.5</v>
      </c>
      <c r="C5" s="1">
        <v>22.5</v>
      </c>
      <c r="D5" s="1">
        <f t="shared" si="0"/>
        <v>25</v>
      </c>
      <c r="E5" s="1">
        <v>80</v>
      </c>
      <c r="F5" s="1">
        <v>40</v>
      </c>
      <c r="G5" s="1">
        <v>2</v>
      </c>
      <c r="H5" s="1">
        <v>10</v>
      </c>
      <c r="I5" s="9">
        <f t="shared" si="1"/>
        <v>23.227984965810336</v>
      </c>
      <c r="J5" s="10">
        <f t="shared" si="2"/>
        <v>0.40540576426994301</v>
      </c>
      <c r="K5" s="10">
        <f>ACOS(-TAN($AF$7*3.1416/180)*TAN(J5))</f>
        <v>1.9108179065913065</v>
      </c>
      <c r="L5" s="10">
        <f t="shared" si="3"/>
        <v>0.96703054391542176</v>
      </c>
      <c r="M5" s="9">
        <f>37.4*L5*(SIN($AF$7*3.1416/180)*SIN(J5)*K5+COS($AF$7*3.1416/180)*COS(J5)*SIN(K5))</f>
        <v>41.464847575552248</v>
      </c>
      <c r="N5" s="10">
        <f t="shared" si="4"/>
        <v>0</v>
      </c>
      <c r="O5" s="9">
        <f t="shared" si="5"/>
        <v>14.597539393363686</v>
      </c>
      <c r="P5" s="10">
        <f t="shared" ref="P5:Q5" si="14">0.6108*EXP(17.27*B5/(237.3+B5))</f>
        <v>3.671270209291702</v>
      </c>
      <c r="Q5" s="10">
        <f t="shared" si="14"/>
        <v>2.7255876066054592</v>
      </c>
      <c r="R5" s="10">
        <f t="shared" si="7"/>
        <v>1.4685080837166808</v>
      </c>
      <c r="S5" s="10">
        <f t="shared" si="8"/>
        <v>2.1804700852843673</v>
      </c>
      <c r="T5" s="10">
        <f t="shared" si="9"/>
        <v>1.8244890845005242</v>
      </c>
      <c r="U5" s="10">
        <f t="shared" si="10"/>
        <v>1.3739398234480564</v>
      </c>
      <c r="V5" s="10">
        <f t="shared" si="11"/>
        <v>0.58309783179322383</v>
      </c>
      <c r="W5" s="10">
        <f>(1-$AF$3)*H5-V5</f>
        <v>7.1169021682067761</v>
      </c>
      <c r="X5" s="10">
        <f t="shared" si="12"/>
        <v>3.1677777175068473</v>
      </c>
      <c r="Y5" s="10">
        <f t="shared" si="13"/>
        <v>0.18868182684282603</v>
      </c>
      <c r="Z5" s="11">
        <f t="shared" ref="Z5:Z7" si="15">(Y5*W5+0.5*U5*G5)/2.45/(Y5+0.067*(1+0.33*G5))</f>
        <v>3.6974955963360361</v>
      </c>
      <c r="AA5" s="26">
        <f t="shared" ref="AA5:AA7" si="16">0.00552*M5*(D5+17.8)*SQRT(B5-C5)*$AE$12</f>
        <v>3.5048376444309035</v>
      </c>
      <c r="AB5" s="27">
        <f t="shared" ref="AB5:AB7" si="17">0.68/2.45*Y5/(0.067+Y5)*0.7*H5</f>
        <v>1.4337422394680641</v>
      </c>
      <c r="AC5" s="25">
        <f>(Y5*W5+0.0864*AD5*U5/$AF$5)/(Y5+0.067*(1+$AF$6/$AF$5))/2.45</f>
        <v>3.7841423716443114</v>
      </c>
      <c r="AD5" s="15">
        <f t="shared" ref="AD5:AD7" si="18">29000*$AE$10/8.31/(D5+273)*(1.01+0.622*T5/($AE$10-T5))</f>
        <v>1197.5402436890738</v>
      </c>
      <c r="AE5" s="2" t="s">
        <v>50</v>
      </c>
      <c r="AF5" s="9">
        <f>IF(AF4&lt;0.2,LN((2-0.65*AF4)/0.13/AF4)*LN((2-0.65*AF4)/0.13/AF4/0.2)/0.4^2/G4,LN((AF4+2-0.65*AF4)/0.2/0.13/AF4)*(6.6-LN(AF4))/0.4^2/2.6/G4*LN(35/13))</f>
        <v>96.627350329458736</v>
      </c>
      <c r="AG5" s="2" t="s">
        <v>51</v>
      </c>
      <c r="AH5" s="4"/>
      <c r="AI5" s="8" t="s">
        <v>52</v>
      </c>
      <c r="AJ5" s="12">
        <v>138.03907189922677</v>
      </c>
      <c r="AK5" s="12">
        <v>444.83849747737656</v>
      </c>
      <c r="AL5" s="12">
        <v>292.91097169215965</v>
      </c>
    </row>
    <row r="6" spans="1:38" ht="18" x14ac:dyDescent="0.35">
      <c r="A6" s="1">
        <v>30</v>
      </c>
      <c r="B6" s="1">
        <v>16</v>
      </c>
      <c r="C6" s="1">
        <v>0</v>
      </c>
      <c r="D6" s="1">
        <f t="shared" si="0"/>
        <v>8</v>
      </c>
      <c r="E6" s="1">
        <v>98</v>
      </c>
      <c r="F6" s="1">
        <v>60</v>
      </c>
      <c r="G6" s="1">
        <v>2</v>
      </c>
      <c r="H6" s="1">
        <v>14</v>
      </c>
      <c r="I6" s="9">
        <f t="shared" si="1"/>
        <v>-17.978235375107761</v>
      </c>
      <c r="J6" s="10">
        <f t="shared" si="2"/>
        <v>-0.31378013474688082</v>
      </c>
      <c r="K6" s="10">
        <f>ACOS(-TAN($AF$7*3.1416/180)*TAN(J6))</f>
        <v>1.3158813488142538</v>
      </c>
      <c r="L6" s="10">
        <f t="shared" si="3"/>
        <v>1.0286964301705928</v>
      </c>
      <c r="M6" s="9">
        <f>37.4*L6*(SIN($AF$7*3.1416/180)*SIN(J6)*K6+COS($AF$7*3.1416/180)*COS(J6)*SIN(K6))</f>
        <v>18.37397460846995</v>
      </c>
      <c r="N6" s="10">
        <f t="shared" si="4"/>
        <v>1</v>
      </c>
      <c r="O6" s="9">
        <f t="shared" si="5"/>
        <v>10.052569509658165</v>
      </c>
      <c r="P6" s="10">
        <f t="shared" ref="P6:Q6" si="19">0.6108*EXP(17.27*B6/(237.3+B6))</f>
        <v>1.8182866804855506</v>
      </c>
      <c r="Q6" s="10">
        <f t="shared" si="19"/>
        <v>0.61080000000000001</v>
      </c>
      <c r="R6" s="10">
        <f t="shared" si="7"/>
        <v>1.0909720082913303</v>
      </c>
      <c r="S6" s="10">
        <f t="shared" si="8"/>
        <v>0.598584</v>
      </c>
      <c r="T6" s="10">
        <f t="shared" si="9"/>
        <v>0.84477800414566517</v>
      </c>
      <c r="U6" s="10">
        <f t="shared" si="10"/>
        <v>0.36976533609711004</v>
      </c>
      <c r="V6" s="10">
        <f t="shared" si="11"/>
        <v>6.4560828784639961</v>
      </c>
      <c r="W6" s="10">
        <f>(1-$AF$3)*H6-V6</f>
        <v>4.323917121536005</v>
      </c>
      <c r="X6" s="10">
        <f t="shared" si="12"/>
        <v>1.0727688258811263</v>
      </c>
      <c r="Y6" s="10">
        <f t="shared" si="13"/>
        <v>7.3060560942138711E-2</v>
      </c>
      <c r="Z6" s="11">
        <f t="shared" si="15"/>
        <v>1.5186983855626601</v>
      </c>
      <c r="AA6" s="26">
        <f t="shared" si="16"/>
        <v>1.6747186994175081</v>
      </c>
      <c r="AB6" s="27">
        <f t="shared" si="17"/>
        <v>1.418848563977362</v>
      </c>
      <c r="AC6" s="25">
        <f>(Y6*W6+0.0864*AD6*U6/$AF$5)/(Y6+0.067*(1+$AF$6/$AF$5))/2.45</f>
        <v>1.5927176031446708</v>
      </c>
      <c r="AD6" s="15">
        <f t="shared" si="18"/>
        <v>1262.2152341678202</v>
      </c>
      <c r="AE6" s="6" t="s">
        <v>53</v>
      </c>
      <c r="AF6" s="6">
        <v>69</v>
      </c>
      <c r="AG6" s="6" t="s">
        <v>51</v>
      </c>
      <c r="AH6" s="7"/>
      <c r="AI6" s="8" t="s">
        <v>54</v>
      </c>
      <c r="AJ6" s="5">
        <v>69</v>
      </c>
      <c r="AK6" s="5">
        <v>0</v>
      </c>
      <c r="AL6" s="5">
        <v>20</v>
      </c>
    </row>
    <row r="7" spans="1:38" x14ac:dyDescent="0.25">
      <c r="A7" s="1">
        <v>30</v>
      </c>
      <c r="B7" s="1">
        <v>10</v>
      </c>
      <c r="C7" s="1">
        <v>6</v>
      </c>
      <c r="D7" s="1">
        <f t="shared" si="0"/>
        <v>8</v>
      </c>
      <c r="E7" s="1">
        <v>98</v>
      </c>
      <c r="F7" s="1">
        <v>75</v>
      </c>
      <c r="G7" s="1">
        <v>2</v>
      </c>
      <c r="H7" s="1">
        <v>5</v>
      </c>
      <c r="I7" s="9">
        <f t="shared" si="1"/>
        <v>-17.978235375107761</v>
      </c>
      <c r="J7" s="10">
        <f t="shared" si="2"/>
        <v>-0.31378013474688082</v>
      </c>
      <c r="K7" s="10">
        <f>ACOS(-TAN($AF$7*3.1416/180)*TAN(J7))</f>
        <v>1.3158813488142538</v>
      </c>
      <c r="L7" s="10">
        <f t="shared" si="3"/>
        <v>1.0286964301705928</v>
      </c>
      <c r="M7" s="9">
        <f>37.4*L7*(SIN($AF$7*3.1416/180)*SIN(J7)*K7+COS($AF$7*3.1416/180)*COS(J7)*SIN(K7))</f>
        <v>18.37397460846995</v>
      </c>
      <c r="N7" s="10">
        <f t="shared" si="4"/>
        <v>4.4248058087020814E-2</v>
      </c>
      <c r="O7" s="9">
        <f t="shared" si="5"/>
        <v>10.052569509658165</v>
      </c>
      <c r="P7" s="10">
        <f t="shared" ref="P7:Q7" si="20">0.6108*EXP(17.27*B7/(237.3+B7))</f>
        <v>1.2279626193393784</v>
      </c>
      <c r="Q7" s="10">
        <f t="shared" si="20"/>
        <v>0.93510940339373394</v>
      </c>
      <c r="R7" s="10">
        <f t="shared" si="7"/>
        <v>0.92097196450453378</v>
      </c>
      <c r="S7" s="10">
        <f t="shared" si="8"/>
        <v>0.91640721532585934</v>
      </c>
      <c r="T7" s="10">
        <f t="shared" si="9"/>
        <v>0.91868958991519656</v>
      </c>
      <c r="U7" s="10">
        <f t="shared" si="10"/>
        <v>0.16284642145135964</v>
      </c>
      <c r="V7" s="10">
        <f t="shared" si="11"/>
        <v>0.87916879521450886</v>
      </c>
      <c r="W7" s="10">
        <f>(1-$AF$3)*H7-V7</f>
        <v>2.9708312047854912</v>
      </c>
      <c r="X7" s="10">
        <f t="shared" si="12"/>
        <v>1.0727688258811263</v>
      </c>
      <c r="Y7" s="10">
        <f t="shared" si="13"/>
        <v>7.3060560942138711E-2</v>
      </c>
      <c r="Z7" s="11">
        <f t="shared" si="15"/>
        <v>0.84143441733994928</v>
      </c>
      <c r="AA7" s="26">
        <f t="shared" si="16"/>
        <v>0.83735934970875403</v>
      </c>
      <c r="AB7" s="27">
        <f t="shared" si="17"/>
        <v>0.50673162999191501</v>
      </c>
      <c r="AC7" s="25">
        <f>(Y7*W7+0.0864*AD7*U7/$AF$5)/(Y7+0.067*(1+$AF$6/$AF$5))/2.45</f>
        <v>0.87088832348960388</v>
      </c>
      <c r="AD7" s="15">
        <f t="shared" si="18"/>
        <v>1262.7963707370543</v>
      </c>
      <c r="AE7" s="13" t="s">
        <v>55</v>
      </c>
      <c r="AF7" s="13">
        <v>37.85</v>
      </c>
      <c r="AG7" s="13" t="s">
        <v>56</v>
      </c>
      <c r="AH7" s="14"/>
      <c r="AI7" s="14"/>
    </row>
    <row r="8" spans="1:38" x14ac:dyDescent="0.25">
      <c r="AD8" s="13" t="s">
        <v>57</v>
      </c>
      <c r="AE8" s="13">
        <v>100</v>
      </c>
      <c r="AF8" s="13" t="s">
        <v>49</v>
      </c>
      <c r="AG8" s="14"/>
      <c r="AH8" s="14"/>
    </row>
    <row r="9" spans="1:38" ht="18.75" x14ac:dyDescent="0.35">
      <c r="AD9" s="2" t="s">
        <v>58</v>
      </c>
      <c r="AE9" s="15">
        <f>29000*AE10/8.31/(D4+273)*(1.01+0.622*T4/(AE10-T4))</f>
        <v>1194.6480418658741</v>
      </c>
      <c r="AF9" s="2" t="s">
        <v>59</v>
      </c>
      <c r="AG9" s="4"/>
    </row>
    <row r="10" spans="1:38" ht="18" x14ac:dyDescent="0.35">
      <c r="AD10" s="2" t="s">
        <v>60</v>
      </c>
      <c r="AE10" s="16">
        <f>101.3*(1-AE8/44308)^5.2568</f>
        <v>100.10391330946584</v>
      </c>
      <c r="AF10" s="17" t="s">
        <v>44</v>
      </c>
      <c r="AG10" s="4"/>
    </row>
    <row r="11" spans="1:38" x14ac:dyDescent="0.25">
      <c r="AB11" s="4"/>
    </row>
    <row r="12" spans="1:38" ht="18" x14ac:dyDescent="0.35">
      <c r="AD12" s="21" t="s">
        <v>64</v>
      </c>
      <c r="AE12" s="18">
        <v>0.16</v>
      </c>
      <c r="AF12" s="18"/>
    </row>
    <row r="13" spans="1:38" x14ac:dyDescent="0.25">
      <c r="AA13" s="4"/>
    </row>
    <row r="21" spans="27:27" ht="15.75" customHeight="1" x14ac:dyDescent="0.25"/>
    <row r="22" spans="27:27" ht="15.75" customHeight="1" x14ac:dyDescent="0.25"/>
    <row r="23" spans="27:27" ht="15.75" customHeight="1" x14ac:dyDescent="0.25"/>
    <row r="24" spans="27:27" ht="15.75" customHeight="1" x14ac:dyDescent="0.25">
      <c r="AA24" s="19"/>
    </row>
    <row r="25" spans="27:27" ht="15.75" customHeight="1" x14ac:dyDescent="0.25"/>
    <row r="26" spans="27:27" ht="15.75" customHeight="1" x14ac:dyDescent="0.25"/>
    <row r="27" spans="27:27" ht="15.75" customHeight="1" x14ac:dyDescent="0.25"/>
    <row r="28" spans="27:27" ht="15.75" customHeight="1" x14ac:dyDescent="0.25"/>
    <row r="29" spans="27:27" ht="15.75" customHeight="1" x14ac:dyDescent="0.25"/>
    <row r="30" spans="27:27" ht="15.75" customHeight="1" x14ac:dyDescent="0.25"/>
    <row r="31" spans="27:27" ht="15.75" customHeight="1" x14ac:dyDescent="0.25"/>
    <row r="32" spans="27:2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E2:AF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FVILLA5</dc:creator>
  <cp:lastModifiedBy>FVILLA5</cp:lastModifiedBy>
  <dcterms:created xsi:type="dcterms:W3CDTF">2019-05-02T15:25:19Z</dcterms:created>
  <dcterms:modified xsi:type="dcterms:W3CDTF">2019-06-28T17:00:48Z</dcterms:modified>
</cp:coreProperties>
</file>